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635" windowHeight="9855" activeTab="0"/>
  </bookViews>
  <sheets>
    <sheet name="NPV Stock" sheetId="1" r:id="rId1"/>
    <sheet name="NPV Graph" sheetId="2" r:id="rId2"/>
    <sheet name="IRR Stock" sheetId="3" r:id="rId3"/>
    <sheet name="Bond" sheetId="4" r:id="rId4"/>
    <sheet name="Duplex" sheetId="5" r:id="rId5"/>
    <sheet name="AnyStreamOfInflows&amp;Outflows" sheetId="6" r:id="rId6"/>
    <sheet name="BizarreResultsFromIRR" sheetId="7" r:id="rId7"/>
  </sheets>
  <definedNames>
    <definedName name="Price">'Bond'!$E$4</definedName>
    <definedName name="Rate">'Bond'!$E$3</definedName>
    <definedName name="RequiredRateOfReturn" localSheetId="0">'NPV Stock'!$D$10</definedName>
    <definedName name="RequiredRateOfReturn">'IRR Stock'!$D$20</definedName>
  </definedNames>
  <calcPr fullCalcOnLoad="1"/>
</workbook>
</file>

<file path=xl/sharedStrings.xml><?xml version="1.0" encoding="utf-8"?>
<sst xmlns="http://schemas.openxmlformats.org/spreadsheetml/2006/main" count="88" uniqueCount="61">
  <si>
    <t>Internal Rate of Return Example - Pretzels Unlimited</t>
  </si>
  <si>
    <t>Year</t>
  </si>
  <si>
    <t>Cash Outflow / Inflow</t>
  </si>
  <si>
    <t>Purchase stock for $24 at beginning of year</t>
  </si>
  <si>
    <t>Internal Rate of Return</t>
  </si>
  <si>
    <t>Rate:</t>
  </si>
  <si>
    <t>Price:</t>
  </si>
  <si>
    <t>Interest Each Year</t>
  </si>
  <si>
    <t>Internal Rate of Return Example - Duplex</t>
  </si>
  <si>
    <t>Cash Flows</t>
  </si>
  <si>
    <r>
      <t>PVM</t>
    </r>
    <r>
      <rPr>
        <vertAlign val="subscript"/>
        <sz val="10"/>
        <rFont val="Arial"/>
        <family val="2"/>
      </rPr>
      <t>year</t>
    </r>
  </si>
  <si>
    <t>Discounted Cash Flows</t>
  </si>
  <si>
    <t>Required Rate of Return:</t>
  </si>
  <si>
    <t>Investment #1</t>
  </si>
  <si>
    <t>Investment #2</t>
  </si>
  <si>
    <t>Which investment would you rather have?</t>
  </si>
  <si>
    <r>
      <t xml:space="preserve">Present Value  </t>
    </r>
    <r>
      <rPr>
        <i/>
        <sz val="12"/>
        <rFont val="Arial"/>
        <family val="2"/>
      </rPr>
      <t>versus</t>
    </r>
    <r>
      <rPr>
        <sz val="12"/>
        <rFont val="Arial"/>
        <family val="0"/>
      </rPr>
      <t xml:space="preserve">  Net Present Value</t>
    </r>
  </si>
  <si>
    <t>(where Net-Present-Value = 0)</t>
  </si>
  <si>
    <t>Present Value = sum of (discounted cash inflows)</t>
  </si>
  <si>
    <t>Cash outflows are negative values -- cash inflows are positive values</t>
  </si>
  <si>
    <t>10-Year Bond – Net Present Value &amp; Internal Rate of Return</t>
  </si>
  <si>
    <t>Net Present Value @ 10%</t>
  </si>
  <si>
    <t>Net Present Values</t>
  </si>
  <si>
    <t>Rate</t>
  </si>
  <si>
    <t>The Internal-Rate-of-Return is our Required-Rate-of-Return where the Present-Value is equal to our Initial Investment</t>
  </si>
  <si>
    <t xml:space="preserve">Watch what happens when we plug in the IRR … </t>
  </si>
  <si>
    <t>Reactor must be decommissioned and dismantled</t>
  </si>
  <si>
    <t>Cash inflows from power generation</t>
  </si>
  <si>
    <t>Initial outflow to build reactor</t>
  </si>
  <si>
    <t>Nuclear Reactor -- Initial Outflow, Cash Inflows, Final Dismantling Cost (Outflow)</t>
  </si>
  <si>
    <t>But IRR can sometimes give you bizarre results …</t>
  </si>
  <si>
    <t>Our Yield-to-Maturity Approximation</t>
  </si>
  <si>
    <t>Internal Rate of Return  =IRR(cash_flows, guess)</t>
  </si>
  <si>
    <t>Net Present Value  =NPV(required_rate_of_return,cash_flows)</t>
  </si>
  <si>
    <t>Internal Rate of Return  =IRR(cash_flows,guess)</t>
  </si>
  <si>
    <t>Internal Rate of Return  =IRR(cash_flows, guess)  – More precise YTM</t>
  </si>
  <si>
    <t>Net Present Value  =NPV(IRR_YTM,cash_flows) – Always zero! (Why?)</t>
  </si>
  <si>
    <t>Market Price of Stock = $22</t>
  </si>
  <si>
    <t>Bond matures – Receive interest and $1,000 principal repayment</t>
  </si>
  <si>
    <t>Stream of rental income (growing at 2% per year)</t>
  </si>
  <si>
    <t>Purchase stock for $22 at beginning of year</t>
  </si>
  <si>
    <t>$2.00 dividend paid during 2013</t>
  </si>
  <si>
    <t>$2.20 dividend paid during 2014</t>
  </si>
  <si>
    <t>$2.30 dividend paid during 2015</t>
  </si>
  <si>
    <t>$2.30 dividend paid during 2016 &amp; stock sold at end of 2016 for $27</t>
  </si>
  <si>
    <t>Fixed Rate:</t>
  </si>
  <si>
    <t>Rent for 30th year and sell at end of 30 years (?)</t>
  </si>
  <si>
    <t>$2.00 dividend paid during 2014</t>
  </si>
  <si>
    <t>$2.20 dividend paid during 2015</t>
  </si>
  <si>
    <t>$2.30 dividend paid during 2016</t>
  </si>
  <si>
    <t>$2.30 dividend paid during 2017 &amp; stock sold at end of 2017 for $27</t>
  </si>
  <si>
    <t>$2.30 dividend &amp; stock sold at end of 2017 for $27</t>
  </si>
  <si>
    <r>
      <t>Present Value</t>
    </r>
    <r>
      <rPr>
        <sz val="10"/>
        <rFont val="Arial"/>
        <family val="0"/>
      </rPr>
      <t xml:space="preserve"> using NPV function  =NPV(required_rate_of_return,cash inflows)</t>
    </r>
  </si>
  <si>
    <r>
      <t>Present Value</t>
    </r>
    <r>
      <rPr>
        <sz val="10"/>
        <rFont val="Arial"/>
        <family val="0"/>
      </rPr>
      <t xml:space="preserve"> = sum of (discounted cash inflows)</t>
    </r>
  </si>
  <si>
    <r>
      <t>Net Present Value</t>
    </r>
    <r>
      <rPr>
        <sz val="10"/>
        <rFont val="Arial"/>
        <family val="0"/>
      </rPr>
      <t xml:space="preserve">   =NPV(required_rate_of_return,cash inflows and outflows)</t>
    </r>
  </si>
  <si>
    <r>
      <t>Net Present Value</t>
    </r>
    <r>
      <rPr>
        <sz val="10"/>
        <rFont val="Arial"/>
        <family val="0"/>
      </rPr>
      <t xml:space="preserve"> = Sum of discounted cash inflows and outflows!</t>
    </r>
  </si>
  <si>
    <r>
      <t>Net Present Value</t>
    </r>
    <r>
      <rPr>
        <sz val="10"/>
        <rFont val="Arial"/>
        <family val="0"/>
      </rPr>
      <t xml:space="preserve"> = Present Value of Future Cash Flows - Initial Investment</t>
    </r>
  </si>
  <si>
    <t>$2.30 dividend paid in 2017 &amp; $27 Value of Stock</t>
  </si>
  <si>
    <t>$2.30 dividend paid during 2017 &amp; stock sold at end of 2016 for $27</t>
  </si>
  <si>
    <t xml:space="preserve">          (The IRR is the point where NPV = 0.)</t>
  </si>
  <si>
    <t>Purchase duplex for $400,000 cash (?)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</si>
</sst>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&quot;$&quot;* #,##0.000_);_(&quot;$&quot;* \(#,##0.00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"/>
    <numFmt numFmtId="171" formatCode="_(&quot;$&quot;* #,##0.000_);_(&quot;$&quot;* \(#,##0.000\);_(&quot;$&quot;* &quot;-&quot;?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_);[Red]\(&quot;$&quot;#,##0.0\)"/>
    <numFmt numFmtId="175" formatCode="_(* #,##0.0000_);_(* \(#,##0.0000\);_(* &quot;-&quot;??_);_(@_)"/>
    <numFmt numFmtId="176" formatCode="&quot;$&quot;#,##0.000_);[Red]\(&quot;$&quot;#,##0.000\)"/>
    <numFmt numFmtId="177" formatCode="&quot;$&quot;#,##0.0000_);[Red]\(&quot;$&quot;#,##0.0000\)"/>
    <numFmt numFmtId="178" formatCode="&quot;$&quot;#,##0.00000_);[Red]\(&quot;$&quot;#,##0.00000\)"/>
    <numFmt numFmtId="179" formatCode="_(* #,##0.000_);_(* \(#,##0.000\);_(* &quot;-&quot;???_);_(@_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i/>
      <sz val="12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0" xfId="17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44" fontId="0" fillId="0" borderId="0" xfId="17" applyBorder="1" applyAlignment="1">
      <alignment horizontal="left"/>
    </xf>
    <xf numFmtId="43" fontId="0" fillId="0" borderId="0" xfId="15" applyBorder="1" applyAlignment="1">
      <alignment/>
    </xf>
    <xf numFmtId="44" fontId="0" fillId="0" borderId="10" xfId="17" applyFont="1" applyBorder="1" applyAlignment="1">
      <alignment/>
    </xf>
    <xf numFmtId="0" fontId="0" fillId="0" borderId="7" xfId="0" applyBorder="1" applyAlignment="1">
      <alignment horizontal="right"/>
    </xf>
    <xf numFmtId="168" fontId="0" fillId="0" borderId="0" xfId="15" applyNumberFormat="1" applyBorder="1" applyAlignment="1">
      <alignment/>
    </xf>
    <xf numFmtId="168" fontId="0" fillId="0" borderId="10" xfId="15" applyNumberFormat="1" applyBorder="1" applyAlignment="1">
      <alignment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/>
    </xf>
    <xf numFmtId="10" fontId="0" fillId="0" borderId="0" xfId="0" applyNumberFormat="1" applyAlignment="1">
      <alignment horizontal="left"/>
    </xf>
    <xf numFmtId="164" fontId="0" fillId="0" borderId="10" xfId="0" applyNumberFormat="1" applyBorder="1" applyAlignment="1">
      <alignment/>
    </xf>
    <xf numFmtId="44" fontId="0" fillId="0" borderId="0" xfId="0" applyNumberFormat="1" applyBorder="1" applyAlignment="1">
      <alignment/>
    </xf>
    <xf numFmtId="44" fontId="0" fillId="0" borderId="4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 vertical="center" indent="1"/>
    </xf>
    <xf numFmtId="44" fontId="0" fillId="0" borderId="10" xfId="17" applyBorder="1" applyAlignment="1">
      <alignment/>
    </xf>
    <xf numFmtId="9" fontId="0" fillId="0" borderId="4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44" fontId="0" fillId="0" borderId="0" xfId="17" applyBorder="1" applyAlignment="1">
      <alignment/>
    </xf>
    <xf numFmtId="43" fontId="0" fillId="0" borderId="0" xfId="15" applyBorder="1" applyAlignment="1">
      <alignment/>
    </xf>
    <xf numFmtId="44" fontId="0" fillId="0" borderId="10" xfId="17" applyFont="1" applyBorder="1" applyAlignment="1">
      <alignment/>
    </xf>
    <xf numFmtId="8" fontId="0" fillId="0" borderId="4" xfId="0" applyNumberFormat="1" applyBorder="1" applyAlignment="1">
      <alignment/>
    </xf>
    <xf numFmtId="43" fontId="0" fillId="0" borderId="10" xfId="15" applyFont="1" applyBorder="1" applyAlignment="1">
      <alignment/>
    </xf>
    <xf numFmtId="0" fontId="0" fillId="0" borderId="7" xfId="0" applyBorder="1" applyAlignment="1">
      <alignment horizontal="left" indent="1"/>
    </xf>
    <xf numFmtId="8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19" applyNumberFormat="1" applyBorder="1" applyAlignment="1">
      <alignment/>
    </xf>
    <xf numFmtId="10" fontId="0" fillId="0" borderId="0" xfId="0" applyNumberFormat="1" applyAlignment="1">
      <alignment/>
    </xf>
    <xf numFmtId="44" fontId="0" fillId="0" borderId="2" xfId="17" applyBorder="1" applyAlignment="1">
      <alignment/>
    </xf>
    <xf numFmtId="43" fontId="0" fillId="0" borderId="2" xfId="15" applyBorder="1" applyAlignment="1">
      <alignment/>
    </xf>
    <xf numFmtId="43" fontId="0" fillId="0" borderId="5" xfId="15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73" fontId="0" fillId="0" borderId="0" xfId="17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0" xfId="17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0" fontId="0" fillId="0" borderId="7" xfId="19" applyNumberFormat="1" applyBorder="1" applyAlignment="1">
      <alignment horizontal="left"/>
    </xf>
    <xf numFmtId="10" fontId="0" fillId="0" borderId="0" xfId="19" applyNumberFormat="1" applyBorder="1" applyAlignment="1">
      <alignment horizontal="right"/>
    </xf>
    <xf numFmtId="10" fontId="0" fillId="0" borderId="0" xfId="19" applyNumberFormat="1" applyBorder="1" applyAlignment="1">
      <alignment horizontal="left"/>
    </xf>
    <xf numFmtId="173" fontId="0" fillId="0" borderId="4" xfId="17" applyNumberFormat="1" applyBorder="1" applyAlignment="1">
      <alignment/>
    </xf>
    <xf numFmtId="8" fontId="0" fillId="0" borderId="4" xfId="17" applyNumberFormat="1" applyBorder="1" applyAlignment="1">
      <alignment/>
    </xf>
    <xf numFmtId="0" fontId="6" fillId="0" borderId="0" xfId="0" applyFont="1" applyAlignment="1">
      <alignment/>
    </xf>
    <xf numFmtId="168" fontId="0" fillId="0" borderId="0" xfId="15" applyNumberFormat="1" applyFont="1" applyBorder="1" applyAlignment="1">
      <alignment/>
    </xf>
    <xf numFmtId="10" fontId="0" fillId="2" borderId="0" xfId="0" applyNumberFormat="1" applyFill="1" applyAlignment="1">
      <alignment horizontal="center"/>
    </xf>
    <xf numFmtId="43" fontId="0" fillId="0" borderId="10" xfId="15" applyNumberFormat="1" applyBorder="1" applyAlignment="1">
      <alignment/>
    </xf>
    <xf numFmtId="177" fontId="0" fillId="0" borderId="4" xfId="17" applyNumberFormat="1" applyBorder="1" applyAlignment="1">
      <alignment/>
    </xf>
    <xf numFmtId="0" fontId="0" fillId="0" borderId="7" xfId="0" applyBorder="1" applyAlignment="1">
      <alignment horizontal="right" wrapText="1"/>
    </xf>
    <xf numFmtId="10" fontId="0" fillId="0" borderId="7" xfId="19" applyNumberFormat="1" applyBorder="1" applyAlignment="1">
      <alignment horizontal="right" vertical="center"/>
    </xf>
    <xf numFmtId="8" fontId="0" fillId="0" borderId="0" xfId="0" applyNumberFormat="1" applyAlignment="1">
      <alignment/>
    </xf>
    <xf numFmtId="0" fontId="7" fillId="0" borderId="4" xfId="0" applyFont="1" applyBorder="1" applyAlignment="1">
      <alignment horizontal="left" indent="1"/>
    </xf>
    <xf numFmtId="0" fontId="7" fillId="0" borderId="5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73" fontId="0" fillId="0" borderId="2" xfId="17" applyNumberFormat="1" applyBorder="1" applyAlignment="1">
      <alignment/>
    </xf>
    <xf numFmtId="173" fontId="0" fillId="0" borderId="10" xfId="17" applyNumberFormat="1" applyBorder="1" applyAlignment="1">
      <alignment/>
    </xf>
    <xf numFmtId="173" fontId="0" fillId="0" borderId="11" xfId="17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9"/>
          <c:w val="0.964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'NPV Graph'!$B$2</c:f>
              <c:strCache>
                <c:ptCount val="1"/>
                <c:pt idx="0">
                  <c:v>Net Present Values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'NPV Graph'!$A$3:$A$23</c:f>
              <c:numCache/>
            </c:numRef>
          </c:xVal>
          <c:yVal>
            <c:numRef>
              <c:f>'NPV Graph'!$B$3:$B$23</c:f>
              <c:numCache/>
            </c:numRef>
          </c:yVal>
          <c:smooth val="1"/>
        </c:ser>
        <c:axId val="67019274"/>
        <c:axId val="66302555"/>
      </c:scatterChart>
      <c:valAx>
        <c:axId val="67019274"/>
        <c:scaling>
          <c:orientation val="minMax"/>
          <c:max val="0.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302555"/>
        <c:crosses val="autoZero"/>
        <c:crossBetween val="midCat"/>
        <c:dispUnits/>
      </c:valAx>
      <c:valAx>
        <c:axId val="66302555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70192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76200</xdr:rowOff>
    </xdr:from>
    <xdr:to>
      <xdr:col>10</xdr:col>
      <xdr:colOff>247650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000125" y="247650"/>
        <a:ext cx="49339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16</xdr:row>
      <xdr:rowOff>9525</xdr:rowOff>
    </xdr:from>
    <xdr:to>
      <xdr:col>8</xdr:col>
      <xdr:colOff>38100</xdr:colOff>
      <xdr:row>21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4276725" y="2790825"/>
          <a:ext cx="22860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1.140625" style="0" customWidth="1"/>
    <col min="3" max="3" width="8.28125" style="0" customWidth="1"/>
    <col min="4" max="4" width="11.57421875" style="0" customWidth="1"/>
    <col min="5" max="5" width="48.421875" style="0" customWidth="1"/>
  </cols>
  <sheetData>
    <row r="1" spans="1:5" ht="18" customHeight="1">
      <c r="A1" s="84" t="s">
        <v>16</v>
      </c>
      <c r="B1" s="84"/>
      <c r="C1" s="84"/>
      <c r="D1" s="84"/>
      <c r="E1" s="84"/>
    </row>
    <row r="2" ht="6" customHeight="1" thickBot="1"/>
    <row r="3" spans="1:5" ht="27" customHeight="1">
      <c r="A3" s="8" t="s">
        <v>1</v>
      </c>
      <c r="B3" s="9" t="s">
        <v>9</v>
      </c>
      <c r="C3" s="25" t="s">
        <v>10</v>
      </c>
      <c r="D3" s="9" t="s">
        <v>11</v>
      </c>
      <c r="E3" s="32" t="s">
        <v>37</v>
      </c>
    </row>
    <row r="4" spans="1:5" ht="12.75">
      <c r="A4" s="1">
        <v>2015</v>
      </c>
      <c r="B4" s="44">
        <v>2</v>
      </c>
      <c r="C4" s="26">
        <f>1/((1+RequiredRateOfReturn)^1)</f>
        <v>0.8928571428571428</v>
      </c>
      <c r="D4" s="29">
        <f>B4*C4</f>
        <v>1.7857142857142856</v>
      </c>
      <c r="E4" s="38" t="s">
        <v>47</v>
      </c>
    </row>
    <row r="5" spans="1:5" ht="12.75">
      <c r="A5" s="1">
        <f>A4+1</f>
        <v>2016</v>
      </c>
      <c r="B5" s="45">
        <v>2.2</v>
      </c>
      <c r="C5" s="26">
        <f>1/((1+RequiredRateOfReturn)^2)</f>
        <v>0.7971938775510203</v>
      </c>
      <c r="D5" s="45">
        <f>B5*C5</f>
        <v>1.753826530612245</v>
      </c>
      <c r="E5" s="38" t="s">
        <v>48</v>
      </c>
    </row>
    <row r="6" spans="1:5" ht="12.75">
      <c r="A6" s="1">
        <f>A5+1</f>
        <v>2017</v>
      </c>
      <c r="B6" s="45">
        <v>2.3</v>
      </c>
      <c r="C6" s="26">
        <f>1/((1+RequiredRateOfReturn)^3)</f>
        <v>0.7117802478134109</v>
      </c>
      <c r="D6" s="45">
        <f>B6*C6</f>
        <v>1.6370945699708448</v>
      </c>
      <c r="E6" s="38" t="s">
        <v>49</v>
      </c>
    </row>
    <row r="7" spans="1:5" ht="12.75">
      <c r="A7" s="12">
        <f>A6+1</f>
        <v>2018</v>
      </c>
      <c r="B7" s="48">
        <f>2.3+27</f>
        <v>29.3</v>
      </c>
      <c r="C7" s="28">
        <f>1/((1+RequiredRateOfReturn)^4)</f>
        <v>0.6355180784048312</v>
      </c>
      <c r="D7" s="73">
        <f>B7*C7</f>
        <v>18.620679697261554</v>
      </c>
      <c r="E7" s="39" t="s">
        <v>57</v>
      </c>
    </row>
    <row r="8" spans="1:5" ht="14.25" customHeight="1" thickBot="1">
      <c r="A8" s="4"/>
      <c r="B8" s="5"/>
      <c r="C8" s="6"/>
      <c r="D8" s="30">
        <f>SUM(D4:D7)</f>
        <v>23.797315083558928</v>
      </c>
      <c r="E8" s="79" t="s">
        <v>53</v>
      </c>
    </row>
    <row r="9" ht="9.75" customHeight="1"/>
    <row r="10" spans="3:5" ht="12.75">
      <c r="C10" s="16" t="s">
        <v>12</v>
      </c>
      <c r="D10" s="27">
        <v>0.12</v>
      </c>
      <c r="E10" s="43"/>
    </row>
    <row r="11" ht="9" customHeight="1" thickBot="1"/>
    <row r="12" spans="1:5" ht="12.75">
      <c r="A12" s="8" t="s">
        <v>1</v>
      </c>
      <c r="B12" s="9" t="s">
        <v>9</v>
      </c>
      <c r="C12" s="49" t="s">
        <v>40</v>
      </c>
      <c r="D12" s="10"/>
      <c r="E12" s="11"/>
    </row>
    <row r="13" spans="1:5" ht="12.75">
      <c r="A13" s="1">
        <f>A4</f>
        <v>2015</v>
      </c>
      <c r="B13" s="44">
        <v>2</v>
      </c>
      <c r="C13" s="40" t="s">
        <v>47</v>
      </c>
      <c r="D13" s="2"/>
      <c r="E13" s="3"/>
    </row>
    <row r="14" spans="1:5" ht="12.75">
      <c r="A14" s="1">
        <f>A13+1</f>
        <v>2016</v>
      </c>
      <c r="B14" s="45">
        <v>2.2</v>
      </c>
      <c r="C14" s="40" t="s">
        <v>48</v>
      </c>
      <c r="D14" s="2"/>
      <c r="E14" s="3"/>
    </row>
    <row r="15" spans="1:5" ht="12.75">
      <c r="A15" s="1">
        <f>A14+1</f>
        <v>2017</v>
      </c>
      <c r="B15" s="45">
        <v>2.3</v>
      </c>
      <c r="C15" s="40" t="s">
        <v>49</v>
      </c>
      <c r="D15" s="2"/>
      <c r="E15" s="3"/>
    </row>
    <row r="16" spans="1:5" ht="12.75">
      <c r="A16" s="12">
        <f>A15+1</f>
        <v>2018</v>
      </c>
      <c r="B16" s="46">
        <f>27+2.3</f>
        <v>29.3</v>
      </c>
      <c r="C16" s="41" t="s">
        <v>58</v>
      </c>
      <c r="D16" s="13"/>
      <c r="E16" s="14"/>
    </row>
    <row r="17" spans="1:5" ht="14.25" customHeight="1" thickBot="1">
      <c r="A17" s="4"/>
      <c r="B17" s="47">
        <f>NPV(RequiredRateOfReturn,B13:B16)</f>
        <v>23.797315083558924</v>
      </c>
      <c r="C17" s="78" t="s">
        <v>52</v>
      </c>
      <c r="D17" s="6"/>
      <c r="E17" s="7"/>
    </row>
    <row r="18" spans="1:5" ht="10.5" customHeight="1">
      <c r="A18" s="2"/>
      <c r="B18" s="50"/>
      <c r="C18" s="40"/>
      <c r="D18" s="2"/>
      <c r="E18" s="2"/>
    </row>
    <row r="19" spans="1:5" ht="12.75">
      <c r="A19" s="2"/>
      <c r="B19" s="80" t="s">
        <v>55</v>
      </c>
      <c r="C19" s="40"/>
      <c r="D19" s="2"/>
      <c r="E19" s="43"/>
    </row>
    <row r="20" ht="6" customHeight="1" thickBot="1"/>
    <row r="21" spans="1:5" ht="12.75">
      <c r="A21" s="8" t="s">
        <v>1</v>
      </c>
      <c r="B21" s="9" t="s">
        <v>9</v>
      </c>
      <c r="C21" s="49" t="s">
        <v>19</v>
      </c>
      <c r="D21" s="10"/>
      <c r="E21" s="11"/>
    </row>
    <row r="22" spans="1:5" ht="12.75">
      <c r="A22" s="1"/>
      <c r="B22" s="44">
        <v>-22</v>
      </c>
      <c r="C22" s="40" t="s">
        <v>40</v>
      </c>
      <c r="D22" s="2"/>
      <c r="E22" s="3"/>
    </row>
    <row r="23" spans="1:5" ht="12.75">
      <c r="A23" s="1">
        <f>A4</f>
        <v>2015</v>
      </c>
      <c r="B23" s="45">
        <v>2</v>
      </c>
      <c r="C23" s="40" t="s">
        <v>41</v>
      </c>
      <c r="D23" s="2"/>
      <c r="E23" s="3"/>
    </row>
    <row r="24" spans="1:5" ht="12.75">
      <c r="A24" s="1">
        <f>A23+1</f>
        <v>2016</v>
      </c>
      <c r="B24" s="45">
        <v>2.2</v>
      </c>
      <c r="C24" s="40" t="s">
        <v>42</v>
      </c>
      <c r="D24" s="2"/>
      <c r="E24" s="3"/>
    </row>
    <row r="25" spans="1:5" ht="12.75">
      <c r="A25" s="1">
        <f>A24+1</f>
        <v>2017</v>
      </c>
      <c r="B25" s="45">
        <v>2.3</v>
      </c>
      <c r="C25" s="40" t="s">
        <v>43</v>
      </c>
      <c r="D25" s="2"/>
      <c r="E25" s="3"/>
    </row>
    <row r="26" spans="1:5" ht="12.75">
      <c r="A26" s="12">
        <f>A25+1</f>
        <v>2018</v>
      </c>
      <c r="B26" s="46">
        <f>27+2.3</f>
        <v>29.3</v>
      </c>
      <c r="C26" s="41" t="s">
        <v>44</v>
      </c>
      <c r="D26" s="13"/>
      <c r="E26" s="14"/>
    </row>
    <row r="27" spans="1:5" ht="15" customHeight="1" thickBot="1">
      <c r="A27" s="4"/>
      <c r="B27" s="74">
        <f>NPV(RequiredRateOfReturn,B22:B26)</f>
        <v>1.604745610320468</v>
      </c>
      <c r="C27" s="78" t="s">
        <v>54</v>
      </c>
      <c r="D27" s="6"/>
      <c r="E27" s="7"/>
    </row>
    <row r="28" ht="5.25" customHeight="1"/>
    <row r="29" spans="2:5" ht="12.75">
      <c r="B29" s="80" t="s">
        <v>56</v>
      </c>
      <c r="E29" s="43"/>
    </row>
  </sheetData>
  <mergeCells count="1">
    <mergeCell ref="A1:E1"/>
  </mergeCells>
  <printOptions/>
  <pageMargins left="0.37" right="0.36" top="0.3" bottom="0.61" header="0.24" footer="0.2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8" sqref="A18"/>
    </sheetView>
  </sheetViews>
  <sheetFormatPr defaultColWidth="9.140625" defaultRowHeight="12.75"/>
  <cols>
    <col min="1" max="1" width="5.57421875" style="0" customWidth="1"/>
    <col min="3" max="3" width="6.57421875" style="0" customWidth="1"/>
  </cols>
  <sheetData>
    <row r="1" ht="13.5" thickBot="1"/>
    <row r="2" spans="1:2" ht="27" customHeight="1">
      <c r="A2" s="57" t="s">
        <v>23</v>
      </c>
      <c r="B2" s="58" t="s">
        <v>22</v>
      </c>
    </row>
    <row r="3" spans="1:2" ht="12.75">
      <c r="A3" s="59">
        <v>0</v>
      </c>
      <c r="B3" s="54">
        <v>13.8</v>
      </c>
    </row>
    <row r="4" spans="1:2" ht="12.75">
      <c r="A4" s="59">
        <f>A3+0.01</f>
        <v>0.01</v>
      </c>
      <c r="B4" s="55">
        <v>12.4</v>
      </c>
    </row>
    <row r="5" spans="1:2" ht="12.75">
      <c r="A5" s="59">
        <f aca="true" t="shared" si="0" ref="A5:A23">A4+0.01</f>
        <v>0.02</v>
      </c>
      <c r="B5" s="55">
        <v>11.09</v>
      </c>
    </row>
    <row r="6" spans="1:2" ht="12.75">
      <c r="A6" s="59">
        <f t="shared" si="0"/>
        <v>0.03</v>
      </c>
      <c r="B6" s="55">
        <v>9.86</v>
      </c>
    </row>
    <row r="7" spans="1:2" ht="12.75">
      <c r="A7" s="59">
        <f t="shared" si="0"/>
        <v>0.04</v>
      </c>
      <c r="B7" s="55">
        <v>8.7</v>
      </c>
    </row>
    <row r="8" spans="1:2" ht="12.75">
      <c r="A8" s="59">
        <f t="shared" si="0"/>
        <v>0.05</v>
      </c>
      <c r="B8" s="55">
        <v>7.61</v>
      </c>
    </row>
    <row r="9" spans="1:2" ht="12.75">
      <c r="A9" s="59">
        <f t="shared" si="0"/>
        <v>0.060000000000000005</v>
      </c>
      <c r="B9" s="55">
        <v>6.59</v>
      </c>
    </row>
    <row r="10" spans="1:2" ht="12.75">
      <c r="A10" s="59">
        <f t="shared" si="0"/>
        <v>0.07</v>
      </c>
      <c r="B10" s="55">
        <v>5.63</v>
      </c>
    </row>
    <row r="11" spans="1:2" ht="12.75">
      <c r="A11" s="59">
        <f t="shared" si="0"/>
        <v>0.08</v>
      </c>
      <c r="B11" s="55">
        <v>4.72</v>
      </c>
    </row>
    <row r="12" spans="1:2" ht="12.75">
      <c r="A12" s="59">
        <f t="shared" si="0"/>
        <v>0.09</v>
      </c>
      <c r="B12" s="55">
        <v>3.87</v>
      </c>
    </row>
    <row r="13" spans="1:2" ht="12.75">
      <c r="A13" s="59">
        <f t="shared" si="0"/>
        <v>0.09999999999999999</v>
      </c>
      <c r="B13" s="55">
        <v>3.07</v>
      </c>
    </row>
    <row r="14" spans="1:2" ht="12.75">
      <c r="A14" s="59">
        <f t="shared" si="0"/>
        <v>0.10999999999999999</v>
      </c>
      <c r="B14" s="55">
        <v>2.32</v>
      </c>
    </row>
    <row r="15" spans="1:2" ht="12.75">
      <c r="A15" s="59">
        <f t="shared" si="0"/>
        <v>0.11999999999999998</v>
      </c>
      <c r="B15" s="55">
        <v>1.6</v>
      </c>
    </row>
    <row r="16" spans="1:2" ht="12.75">
      <c r="A16" s="59">
        <f t="shared" si="0"/>
        <v>0.12999999999999998</v>
      </c>
      <c r="B16" s="55">
        <v>0.94</v>
      </c>
    </row>
    <row r="17" spans="1:2" ht="12.75">
      <c r="A17" s="59">
        <f t="shared" si="0"/>
        <v>0.13999999999999999</v>
      </c>
      <c r="B17" s="55">
        <v>0.3</v>
      </c>
    </row>
    <row r="18" spans="1:2" ht="12.75">
      <c r="A18" s="59">
        <f t="shared" si="0"/>
        <v>0.15</v>
      </c>
      <c r="B18" s="55">
        <v>-0.29</v>
      </c>
    </row>
    <row r="19" spans="1:2" ht="12.75">
      <c r="A19" s="59">
        <f t="shared" si="0"/>
        <v>0.16</v>
      </c>
      <c r="B19" s="55">
        <v>-0.85</v>
      </c>
    </row>
    <row r="20" spans="1:2" ht="12.75">
      <c r="A20" s="59">
        <f t="shared" si="0"/>
        <v>0.17</v>
      </c>
      <c r="B20" s="55">
        <v>-1.38</v>
      </c>
    </row>
    <row r="21" spans="1:2" ht="12.75">
      <c r="A21" s="59">
        <f t="shared" si="0"/>
        <v>0.18000000000000002</v>
      </c>
      <c r="B21" s="55">
        <v>-1.88</v>
      </c>
    </row>
    <row r="22" spans="1:2" ht="12.75">
      <c r="A22" s="59">
        <f t="shared" si="0"/>
        <v>0.19000000000000003</v>
      </c>
      <c r="B22" s="55">
        <v>-2.34</v>
      </c>
    </row>
    <row r="23" spans="1:5" ht="13.5" thickBot="1">
      <c r="A23" s="60">
        <f t="shared" si="0"/>
        <v>0.20000000000000004</v>
      </c>
      <c r="B23" s="56">
        <v>-2.79</v>
      </c>
      <c r="E23" t="s">
        <v>59</v>
      </c>
    </row>
    <row r="24" ht="12.75">
      <c r="A24" s="53"/>
    </row>
    <row r="25" ht="12.75">
      <c r="A25" s="53"/>
    </row>
    <row r="26" ht="12.75">
      <c r="A26" s="5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1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8.28125" style="0" customWidth="1"/>
    <col min="4" max="4" width="12.28125" style="0" customWidth="1"/>
    <col min="5" max="5" width="44.00390625" style="0" customWidth="1"/>
  </cols>
  <sheetData>
    <row r="1" spans="1:5" ht="18" customHeight="1" thickBot="1">
      <c r="A1" s="85" t="s">
        <v>0</v>
      </c>
      <c r="B1" s="85"/>
      <c r="C1" s="85"/>
      <c r="D1" s="85"/>
      <c r="E1" s="85"/>
    </row>
    <row r="2" spans="1:5" ht="18" customHeight="1">
      <c r="A2" s="8" t="s">
        <v>1</v>
      </c>
      <c r="B2" s="9" t="s">
        <v>9</v>
      </c>
      <c r="C2" s="10"/>
      <c r="D2" s="10"/>
      <c r="E2" s="11"/>
    </row>
    <row r="3" spans="1:5" ht="12.75">
      <c r="A3" s="1"/>
      <c r="B3" s="15">
        <v>-22</v>
      </c>
      <c r="C3" s="40" t="s">
        <v>3</v>
      </c>
      <c r="D3" s="2"/>
      <c r="E3" s="3"/>
    </row>
    <row r="4" spans="1:5" ht="12.75">
      <c r="A4" s="1">
        <f>'NPV Stock'!A4</f>
        <v>2015</v>
      </c>
      <c r="B4" s="20">
        <v>2</v>
      </c>
      <c r="C4" s="40" t="s">
        <v>47</v>
      </c>
      <c r="D4" s="2"/>
      <c r="E4" s="3"/>
    </row>
    <row r="5" spans="1:5" ht="12.75">
      <c r="A5" s="1">
        <f>A4+1</f>
        <v>2016</v>
      </c>
      <c r="B5" s="20">
        <v>2.2</v>
      </c>
      <c r="C5" s="40" t="s">
        <v>48</v>
      </c>
      <c r="D5" s="2"/>
      <c r="E5" s="3"/>
    </row>
    <row r="6" spans="1:5" ht="12.75">
      <c r="A6" s="1">
        <f>A5+1</f>
        <v>2017</v>
      </c>
      <c r="B6" s="20">
        <v>2.3</v>
      </c>
      <c r="C6" s="40" t="s">
        <v>49</v>
      </c>
      <c r="D6" s="2"/>
      <c r="E6" s="3"/>
    </row>
    <row r="7" spans="1:5" ht="12.75">
      <c r="A7" s="12">
        <f>A6+1</f>
        <v>2018</v>
      </c>
      <c r="B7" s="21">
        <f>27+2.3</f>
        <v>29.3</v>
      </c>
      <c r="C7" s="41" t="s">
        <v>50</v>
      </c>
      <c r="D7" s="13"/>
      <c r="E7" s="14"/>
    </row>
    <row r="8" spans="1:5" ht="13.5" thickBot="1">
      <c r="A8" s="4"/>
      <c r="B8" s="5">
        <f>IRR(B3:B7,0.12)</f>
        <v>0.14505729597863806</v>
      </c>
      <c r="C8" s="42" t="s">
        <v>34</v>
      </c>
      <c r="D8" s="6"/>
      <c r="E8" s="7"/>
    </row>
    <row r="9" ht="6" customHeight="1"/>
    <row r="10" ht="12.75">
      <c r="A10" s="70" t="s">
        <v>24</v>
      </c>
    </row>
    <row r="11" ht="12.75">
      <c r="E11" t="s">
        <v>17</v>
      </c>
    </row>
    <row r="12" ht="6" customHeight="1" thickBot="1"/>
    <row r="13" spans="1:5" ht="27" customHeight="1">
      <c r="A13" s="8" t="s">
        <v>1</v>
      </c>
      <c r="B13" s="9" t="s">
        <v>9</v>
      </c>
      <c r="C13" s="25" t="s">
        <v>10</v>
      </c>
      <c r="D13" s="9" t="s">
        <v>11</v>
      </c>
      <c r="E13" s="32" t="s">
        <v>37</v>
      </c>
    </row>
    <row r="14" spans="1:5" ht="12.75">
      <c r="A14" s="1">
        <f>A4</f>
        <v>2015</v>
      </c>
      <c r="B14" s="15">
        <v>2</v>
      </c>
      <c r="C14" s="26">
        <f>1/((1+RequiredRateOfReturn)^1)</f>
        <v>0.8928571428571428</v>
      </c>
      <c r="D14" s="29">
        <f>B14*C14</f>
        <v>1.7857142857142856</v>
      </c>
      <c r="E14" s="38" t="s">
        <v>47</v>
      </c>
    </row>
    <row r="15" spans="1:5" ht="12.75">
      <c r="A15" s="1">
        <f>A14+1</f>
        <v>2016</v>
      </c>
      <c r="B15" s="20">
        <v>2.2</v>
      </c>
      <c r="C15" s="26">
        <f>1/((1+RequiredRateOfReturn)^2)</f>
        <v>0.7971938775510203</v>
      </c>
      <c r="D15" s="20">
        <f>B15*C15</f>
        <v>1.753826530612245</v>
      </c>
      <c r="E15" s="38" t="s">
        <v>48</v>
      </c>
    </row>
    <row r="16" spans="1:5" ht="12.75">
      <c r="A16" s="1">
        <f>A15+1</f>
        <v>2017</v>
      </c>
      <c r="B16" s="20">
        <v>2.3</v>
      </c>
      <c r="C16" s="26">
        <f>1/((1+RequiredRateOfReturn)^3)</f>
        <v>0.7117802478134109</v>
      </c>
      <c r="D16" s="20">
        <f>B16*C16</f>
        <v>1.6370945699708448</v>
      </c>
      <c r="E16" s="38" t="s">
        <v>49</v>
      </c>
    </row>
    <row r="17" spans="1:5" ht="12.75">
      <c r="A17" s="12">
        <f>A16+1</f>
        <v>2018</v>
      </c>
      <c r="B17" s="21">
        <f>2.3+27</f>
        <v>29.3</v>
      </c>
      <c r="C17" s="28">
        <f>1/((1+RequiredRateOfReturn)^4)</f>
        <v>0.6355180784048312</v>
      </c>
      <c r="D17" s="33">
        <f>B17*C17</f>
        <v>18.620679697261554</v>
      </c>
      <c r="E17" s="39" t="s">
        <v>51</v>
      </c>
    </row>
    <row r="18" spans="1:5" ht="13.5" thickBot="1">
      <c r="A18" s="4"/>
      <c r="B18" s="5"/>
      <c r="C18" s="6"/>
      <c r="D18" s="30">
        <f>SUM(D14:D17)</f>
        <v>23.797315083558928</v>
      </c>
      <c r="E18" s="37" t="s">
        <v>18</v>
      </c>
    </row>
    <row r="19" ht="6" customHeight="1"/>
    <row r="20" spans="3:5" ht="12.75">
      <c r="C20" s="16" t="s">
        <v>12</v>
      </c>
      <c r="D20" s="72">
        <v>0.12</v>
      </c>
      <c r="E20" s="43" t="s">
        <v>25</v>
      </c>
    </row>
    <row r="22" ht="12.75">
      <c r="D22" s="77"/>
    </row>
  </sheetData>
  <mergeCells count="1">
    <mergeCell ref="A1:E1"/>
  </mergeCells>
  <printOptions/>
  <pageMargins left="0.23" right="0.24" top="0.39" bottom="1" header="0.28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="105" zoomScaleNormal="105" workbookViewId="0" topLeftCell="A1">
      <selection activeCell="A1" sqref="A1:G1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2.7109375" style="0" customWidth="1"/>
    <col min="5" max="5" width="11.00390625" style="0" bestFit="1" customWidth="1"/>
    <col min="7" max="7" width="31.140625" style="0" customWidth="1"/>
  </cols>
  <sheetData>
    <row r="1" spans="1:7" ht="15">
      <c r="A1" s="86" t="s">
        <v>20</v>
      </c>
      <c r="B1" s="86"/>
      <c r="C1" s="86"/>
      <c r="D1" s="86"/>
      <c r="E1" s="86"/>
      <c r="F1" s="86"/>
      <c r="G1" s="86"/>
    </row>
    <row r="2" spans="1:7" ht="13.5" thickBot="1">
      <c r="A2" s="2"/>
      <c r="B2" s="2"/>
      <c r="C2" s="2"/>
      <c r="D2" s="2"/>
      <c r="E2" s="2"/>
      <c r="F2" s="2"/>
      <c r="G2" s="2"/>
    </row>
    <row r="3" spans="1:7" ht="28.5" customHeight="1">
      <c r="A3" s="8" t="s">
        <v>1</v>
      </c>
      <c r="B3" s="9" t="s">
        <v>2</v>
      </c>
      <c r="C3" s="10"/>
      <c r="D3" s="75" t="s">
        <v>45</v>
      </c>
      <c r="E3" s="76">
        <v>0.08</v>
      </c>
      <c r="F3" s="10"/>
      <c r="G3" s="11"/>
    </row>
    <row r="4" spans="1:7" ht="12.75">
      <c r="A4" s="17"/>
      <c r="B4" s="15">
        <f>-(Price)</f>
        <v>-1000</v>
      </c>
      <c r="C4" s="2"/>
      <c r="D4" s="18" t="s">
        <v>6</v>
      </c>
      <c r="E4" s="19">
        <v>1000</v>
      </c>
      <c r="F4" s="2"/>
      <c r="G4" s="3"/>
    </row>
    <row r="5" spans="1:7" ht="12.75">
      <c r="A5" s="1">
        <f>'NPV Stock'!A4</f>
        <v>2015</v>
      </c>
      <c r="B5" s="20">
        <f aca="true" t="shared" si="0" ref="B5:B13">1000*Rate</f>
        <v>80</v>
      </c>
      <c r="C5" s="2"/>
      <c r="D5" s="2"/>
      <c r="E5" s="2"/>
      <c r="F5" s="2"/>
      <c r="G5" s="3"/>
    </row>
    <row r="6" spans="1:7" ht="12.75">
      <c r="A6" s="1">
        <f>A5+1</f>
        <v>2016</v>
      </c>
      <c r="B6" s="20">
        <f t="shared" si="0"/>
        <v>80</v>
      </c>
      <c r="C6" s="2"/>
      <c r="D6" s="2"/>
      <c r="E6" s="2"/>
      <c r="F6" s="2"/>
      <c r="G6" s="3"/>
    </row>
    <row r="7" spans="1:7" ht="12.75">
      <c r="A7" s="1">
        <f aca="true" t="shared" si="1" ref="A7:A14">A6+1</f>
        <v>2017</v>
      </c>
      <c r="B7" s="20">
        <f t="shared" si="0"/>
        <v>80</v>
      </c>
      <c r="C7" s="40" t="s">
        <v>7</v>
      </c>
      <c r="D7" s="2"/>
      <c r="E7" s="2"/>
      <c r="F7" s="2"/>
      <c r="G7" s="3"/>
    </row>
    <row r="8" spans="1:7" ht="12.75">
      <c r="A8" s="1">
        <f t="shared" si="1"/>
        <v>2018</v>
      </c>
      <c r="B8" s="20">
        <f t="shared" si="0"/>
        <v>80</v>
      </c>
      <c r="C8" s="2"/>
      <c r="D8" s="2"/>
      <c r="E8" s="2"/>
      <c r="F8" s="2"/>
      <c r="G8" s="3"/>
    </row>
    <row r="9" spans="1:7" ht="12.75">
      <c r="A9" s="1">
        <f t="shared" si="1"/>
        <v>2019</v>
      </c>
      <c r="B9" s="20">
        <f t="shared" si="0"/>
        <v>80</v>
      </c>
      <c r="C9" s="2"/>
      <c r="D9" s="2"/>
      <c r="E9" s="2"/>
      <c r="F9" s="2"/>
      <c r="G9" s="3"/>
    </row>
    <row r="10" spans="1:7" ht="12.75">
      <c r="A10" s="1">
        <f t="shared" si="1"/>
        <v>2020</v>
      </c>
      <c r="B10" s="20">
        <f t="shared" si="0"/>
        <v>80</v>
      </c>
      <c r="C10" s="2"/>
      <c r="D10" s="2"/>
      <c r="E10" s="2"/>
      <c r="F10" s="2"/>
      <c r="G10" s="3"/>
    </row>
    <row r="11" spans="1:7" ht="12.75">
      <c r="A11" s="1">
        <f t="shared" si="1"/>
        <v>2021</v>
      </c>
      <c r="B11" s="20">
        <f t="shared" si="0"/>
        <v>80</v>
      </c>
      <c r="C11" s="2"/>
      <c r="D11" s="2"/>
      <c r="E11" s="2"/>
      <c r="F11" s="2"/>
      <c r="G11" s="3"/>
    </row>
    <row r="12" spans="1:7" ht="12.75">
      <c r="A12" s="1">
        <f t="shared" si="1"/>
        <v>2022</v>
      </c>
      <c r="B12" s="20">
        <f t="shared" si="0"/>
        <v>80</v>
      </c>
      <c r="C12" s="2"/>
      <c r="D12" s="2"/>
      <c r="E12" s="2"/>
      <c r="F12" s="2"/>
      <c r="G12" s="3"/>
    </row>
    <row r="13" spans="1:7" ht="12.75">
      <c r="A13" s="1">
        <f t="shared" si="1"/>
        <v>2023</v>
      </c>
      <c r="B13" s="20">
        <f t="shared" si="0"/>
        <v>80</v>
      </c>
      <c r="C13" s="2"/>
      <c r="D13" s="2"/>
      <c r="E13" s="2"/>
      <c r="F13" s="2"/>
      <c r="G13" s="3"/>
    </row>
    <row r="14" spans="1:7" ht="12.75">
      <c r="A14" s="12">
        <f t="shared" si="1"/>
        <v>2024</v>
      </c>
      <c r="B14" s="21">
        <f>1000+(1000*Rate)</f>
        <v>1080</v>
      </c>
      <c r="C14" s="41" t="s">
        <v>38</v>
      </c>
      <c r="D14" s="13"/>
      <c r="E14" s="13"/>
      <c r="F14" s="13"/>
      <c r="G14" s="14"/>
    </row>
    <row r="15" spans="1:7" ht="12.75">
      <c r="A15" s="17"/>
      <c r="B15" s="51">
        <f>IRR(B4:B14,0)</f>
        <v>0.08</v>
      </c>
      <c r="C15" s="40" t="s">
        <v>35</v>
      </c>
      <c r="D15" s="2"/>
      <c r="E15" s="2"/>
      <c r="F15" s="2"/>
      <c r="G15" s="3"/>
    </row>
    <row r="16" spans="1:7" ht="12.75">
      <c r="A16" s="17"/>
      <c r="B16" s="66">
        <f>((1000*Rate)+(1000-Price)/10)/((1000+Price)/2)</f>
        <v>0.08</v>
      </c>
      <c r="C16" s="40" t="s">
        <v>31</v>
      </c>
      <c r="D16" s="67"/>
      <c r="E16" s="2"/>
      <c r="F16" s="2"/>
      <c r="G16" s="3"/>
    </row>
    <row r="17" spans="1:7" ht="13.5" thickBot="1">
      <c r="A17" s="4"/>
      <c r="B17" s="69">
        <f>ROUND(NPV(B15,B4:B14),2)</f>
        <v>0</v>
      </c>
      <c r="C17" s="42" t="s">
        <v>36</v>
      </c>
      <c r="D17" s="6"/>
      <c r="E17" s="6"/>
      <c r="F17" s="6"/>
      <c r="G17" s="7"/>
    </row>
    <row r="18" ht="12.75">
      <c r="C18" s="16"/>
    </row>
    <row r="19" ht="12.75">
      <c r="F19" s="2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35"/>
  <sheetViews>
    <sheetView zoomScale="108" zoomScaleNormal="108" workbookViewId="0" topLeftCell="A1">
      <selection activeCell="B1" sqref="B1:D1"/>
    </sheetView>
  </sheetViews>
  <sheetFormatPr defaultColWidth="9.140625" defaultRowHeight="12.75"/>
  <cols>
    <col min="1" max="1" width="3.28125" style="0" customWidth="1"/>
    <col min="3" max="3" width="12.140625" style="0" bestFit="1" customWidth="1"/>
    <col min="4" max="4" width="47.57421875" style="0" customWidth="1"/>
  </cols>
  <sheetData>
    <row r="1" spans="2:4" ht="13.5" thickBot="1">
      <c r="B1" s="87" t="s">
        <v>8</v>
      </c>
      <c r="C1" s="87"/>
      <c r="D1" s="87"/>
    </row>
    <row r="2" spans="2:4" ht="25.5">
      <c r="B2" s="8" t="s">
        <v>1</v>
      </c>
      <c r="C2" s="9" t="s">
        <v>2</v>
      </c>
      <c r="D2" s="11"/>
    </row>
    <row r="3" spans="2:4" ht="12.75">
      <c r="B3" s="17"/>
      <c r="C3" s="23">
        <v>-300000</v>
      </c>
      <c r="D3" s="38" t="s">
        <v>60</v>
      </c>
    </row>
    <row r="4" spans="2:4" ht="12.75">
      <c r="B4" s="1">
        <f>'NPV Stock'!A4</f>
        <v>2015</v>
      </c>
      <c r="C4" s="23">
        <v>24000</v>
      </c>
      <c r="D4" s="38"/>
    </row>
    <row r="5" spans="2:4" ht="12.75">
      <c r="B5" s="1">
        <f>B4+1</f>
        <v>2016</v>
      </c>
      <c r="C5" s="71">
        <f>C4*1.02</f>
        <v>24480</v>
      </c>
      <c r="D5" s="38" t="s">
        <v>39</v>
      </c>
    </row>
    <row r="6" spans="2:4" ht="12.75">
      <c r="B6" s="1">
        <f aca="true" t="shared" si="0" ref="B6:B33">B5+1</f>
        <v>2017</v>
      </c>
      <c r="C6" s="71">
        <f aca="true" t="shared" si="1" ref="C6:C31">C5*1.02</f>
        <v>24969.600000000002</v>
      </c>
      <c r="D6" s="38"/>
    </row>
    <row r="7" spans="2:4" ht="12.75">
      <c r="B7" s="1">
        <f t="shared" si="0"/>
        <v>2018</v>
      </c>
      <c r="C7" s="71">
        <f t="shared" si="1"/>
        <v>25468.992000000002</v>
      </c>
      <c r="D7" s="38"/>
    </row>
    <row r="8" spans="2:4" ht="12.75">
      <c r="B8" s="1">
        <f t="shared" si="0"/>
        <v>2019</v>
      </c>
      <c r="C8" s="71">
        <f t="shared" si="1"/>
        <v>25978.371840000003</v>
      </c>
      <c r="D8" s="38"/>
    </row>
    <row r="9" spans="2:4" ht="12.75">
      <c r="B9" s="1">
        <f t="shared" si="0"/>
        <v>2020</v>
      </c>
      <c r="C9" s="71">
        <f t="shared" si="1"/>
        <v>26497.939276800003</v>
      </c>
      <c r="D9" s="38"/>
    </row>
    <row r="10" spans="2:4" ht="12.75">
      <c r="B10" s="1">
        <f t="shared" si="0"/>
        <v>2021</v>
      </c>
      <c r="C10" s="71">
        <f t="shared" si="1"/>
        <v>27027.898062336004</v>
      </c>
      <c r="D10" s="38"/>
    </row>
    <row r="11" spans="2:4" ht="12.75">
      <c r="B11" s="1">
        <f t="shared" si="0"/>
        <v>2022</v>
      </c>
      <c r="C11" s="71">
        <f t="shared" si="1"/>
        <v>27568.456023582723</v>
      </c>
      <c r="D11" s="38"/>
    </row>
    <row r="12" spans="2:4" ht="12.75">
      <c r="B12" s="1">
        <f t="shared" si="0"/>
        <v>2023</v>
      </c>
      <c r="C12" s="71">
        <f t="shared" si="1"/>
        <v>28119.82514405438</v>
      </c>
      <c r="D12" s="38"/>
    </row>
    <row r="13" spans="2:4" ht="12.75">
      <c r="B13" s="1">
        <f t="shared" si="0"/>
        <v>2024</v>
      </c>
      <c r="C13" s="71">
        <f t="shared" si="1"/>
        <v>28682.221646935468</v>
      </c>
      <c r="D13" s="38"/>
    </row>
    <row r="14" spans="2:4" ht="12.75">
      <c r="B14" s="1">
        <f t="shared" si="0"/>
        <v>2025</v>
      </c>
      <c r="C14" s="71">
        <f t="shared" si="1"/>
        <v>29255.866079874177</v>
      </c>
      <c r="D14" s="38"/>
    </row>
    <row r="15" spans="2:4" ht="12.75">
      <c r="B15" s="1">
        <f t="shared" si="0"/>
        <v>2026</v>
      </c>
      <c r="C15" s="71">
        <f t="shared" si="1"/>
        <v>29840.98340147166</v>
      </c>
      <c r="D15" s="38"/>
    </row>
    <row r="16" spans="2:4" ht="12.75">
      <c r="B16" s="1">
        <f t="shared" si="0"/>
        <v>2027</v>
      </c>
      <c r="C16" s="71">
        <f t="shared" si="1"/>
        <v>30437.803069501097</v>
      </c>
      <c r="D16" s="38"/>
    </row>
    <row r="17" spans="2:4" ht="12.75">
      <c r="B17" s="1">
        <f t="shared" si="0"/>
        <v>2028</v>
      </c>
      <c r="C17" s="71">
        <f t="shared" si="1"/>
        <v>31046.55913089112</v>
      </c>
      <c r="D17" s="38"/>
    </row>
    <row r="18" spans="2:4" ht="12.75">
      <c r="B18" s="1">
        <f t="shared" si="0"/>
        <v>2029</v>
      </c>
      <c r="C18" s="71">
        <f t="shared" si="1"/>
        <v>31667.490313508944</v>
      </c>
      <c r="D18" s="38"/>
    </row>
    <row r="19" spans="2:4" ht="12.75">
      <c r="B19" s="1">
        <f t="shared" si="0"/>
        <v>2030</v>
      </c>
      <c r="C19" s="71">
        <f t="shared" si="1"/>
        <v>32300.840119779125</v>
      </c>
      <c r="D19" s="38"/>
    </row>
    <row r="20" spans="2:4" ht="12.75">
      <c r="B20" s="1">
        <f t="shared" si="0"/>
        <v>2031</v>
      </c>
      <c r="C20" s="71">
        <f t="shared" si="1"/>
        <v>32946.85692217471</v>
      </c>
      <c r="D20" s="38"/>
    </row>
    <row r="21" spans="2:4" ht="12.75">
      <c r="B21" s="1">
        <f t="shared" si="0"/>
        <v>2032</v>
      </c>
      <c r="C21" s="71">
        <f t="shared" si="1"/>
        <v>33605.7940606182</v>
      </c>
      <c r="D21" s="38"/>
    </row>
    <row r="22" spans="2:4" ht="12.75">
      <c r="B22" s="1">
        <f t="shared" si="0"/>
        <v>2033</v>
      </c>
      <c r="C22" s="71">
        <f t="shared" si="1"/>
        <v>34277.90994183056</v>
      </c>
      <c r="D22" s="38"/>
    </row>
    <row r="23" spans="2:4" ht="12.75">
      <c r="B23" s="1">
        <f t="shared" si="0"/>
        <v>2034</v>
      </c>
      <c r="C23" s="71">
        <f t="shared" si="1"/>
        <v>34963.46814066717</v>
      </c>
      <c r="D23" s="38"/>
    </row>
    <row r="24" spans="2:4" ht="12.75">
      <c r="B24" s="1">
        <f t="shared" si="0"/>
        <v>2035</v>
      </c>
      <c r="C24" s="71">
        <f t="shared" si="1"/>
        <v>35662.737503480515</v>
      </c>
      <c r="D24" s="38"/>
    </row>
    <row r="25" spans="2:4" ht="12.75">
      <c r="B25" s="1">
        <f t="shared" si="0"/>
        <v>2036</v>
      </c>
      <c r="C25" s="71">
        <f t="shared" si="1"/>
        <v>36375.992253550125</v>
      </c>
      <c r="D25" s="38"/>
    </row>
    <row r="26" spans="2:4" ht="12.75">
      <c r="B26" s="1">
        <f t="shared" si="0"/>
        <v>2037</v>
      </c>
      <c r="C26" s="71">
        <f t="shared" si="1"/>
        <v>37103.512098621126</v>
      </c>
      <c r="D26" s="38"/>
    </row>
    <row r="27" spans="2:4" ht="12.75">
      <c r="B27" s="1">
        <f t="shared" si="0"/>
        <v>2038</v>
      </c>
      <c r="C27" s="71">
        <f t="shared" si="1"/>
        <v>37845.58234059355</v>
      </c>
      <c r="D27" s="38"/>
    </row>
    <row r="28" spans="2:4" ht="12.75">
      <c r="B28" s="1">
        <f t="shared" si="0"/>
        <v>2039</v>
      </c>
      <c r="C28" s="71">
        <f t="shared" si="1"/>
        <v>38602.493987405425</v>
      </c>
      <c r="D28" s="38"/>
    </row>
    <row r="29" spans="2:4" ht="12.75">
      <c r="B29" s="1">
        <f t="shared" si="0"/>
        <v>2040</v>
      </c>
      <c r="C29" s="71">
        <f t="shared" si="1"/>
        <v>39374.54386715354</v>
      </c>
      <c r="D29" s="38"/>
    </row>
    <row r="30" spans="2:4" ht="12.75">
      <c r="B30" s="1">
        <f t="shared" si="0"/>
        <v>2041</v>
      </c>
      <c r="C30" s="71">
        <f t="shared" si="1"/>
        <v>40162.03474449661</v>
      </c>
      <c r="D30" s="38"/>
    </row>
    <row r="31" spans="2:4" ht="12.75">
      <c r="B31" s="1">
        <f t="shared" si="0"/>
        <v>2042</v>
      </c>
      <c r="C31" s="71">
        <f t="shared" si="1"/>
        <v>40965.27543938654</v>
      </c>
      <c r="D31" s="38"/>
    </row>
    <row r="32" spans="2:4" ht="12.75">
      <c r="B32" s="1">
        <f t="shared" si="0"/>
        <v>2043</v>
      </c>
      <c r="C32" s="71">
        <f>C31*1.02</f>
        <v>41784.58094817427</v>
      </c>
      <c r="D32" s="38"/>
    </row>
    <row r="33" spans="2:4" ht="12.75">
      <c r="B33" s="12">
        <f t="shared" si="0"/>
        <v>2044</v>
      </c>
      <c r="C33" s="24">
        <f>C32*1.02+700000</f>
        <v>742620.2725671377</v>
      </c>
      <c r="D33" s="39" t="s">
        <v>46</v>
      </c>
    </row>
    <row r="34" spans="2:4" ht="12.75">
      <c r="B34" s="17"/>
      <c r="C34" s="52">
        <f>IRR(C3:C33,0.1)</f>
        <v>0.10255062072973639</v>
      </c>
      <c r="D34" s="38" t="s">
        <v>4</v>
      </c>
    </row>
    <row r="35" spans="2:4" ht="13.5" thickBot="1">
      <c r="B35" s="4"/>
      <c r="C35" s="47">
        <f>NPV(0.1,C3:C34)</f>
        <v>8158.217351352053</v>
      </c>
      <c r="D35" s="37" t="s">
        <v>21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="105" zoomScaleNormal="105"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2" max="2" width="16.7109375" style="0" bestFit="1" customWidth="1"/>
    <col min="5" max="5" width="10.57421875" style="0" bestFit="1" customWidth="1"/>
    <col min="7" max="7" width="19.421875" style="0" customWidth="1"/>
  </cols>
  <sheetData>
    <row r="1" spans="1:7" ht="20.25" customHeight="1" thickBot="1">
      <c r="A1" s="88" t="s">
        <v>29</v>
      </c>
      <c r="B1" s="88"/>
      <c r="C1" s="88"/>
      <c r="D1" s="88"/>
      <c r="E1" s="88"/>
      <c r="F1" s="88"/>
      <c r="G1" s="88"/>
    </row>
    <row r="2" spans="1:7" ht="25.5">
      <c r="A2" s="8" t="s">
        <v>1</v>
      </c>
      <c r="B2" s="9" t="s">
        <v>2</v>
      </c>
      <c r="C2" s="10"/>
      <c r="D2" s="22" t="s">
        <v>5</v>
      </c>
      <c r="E2" s="65">
        <v>0.08</v>
      </c>
      <c r="F2" s="10"/>
      <c r="G2" s="11"/>
    </row>
    <row r="3" spans="1:7" ht="12.75">
      <c r="A3" s="17"/>
      <c r="B3" s="61">
        <v>-2500000000</v>
      </c>
      <c r="C3" s="40" t="s">
        <v>28</v>
      </c>
      <c r="D3" s="18"/>
      <c r="E3" s="19"/>
      <c r="F3" s="2"/>
      <c r="G3" s="3"/>
    </row>
    <row r="4" spans="1:7" ht="12.75">
      <c r="A4" s="1">
        <f>'NPV Stock'!A4</f>
        <v>2015</v>
      </c>
      <c r="B4" s="62">
        <v>250000000</v>
      </c>
      <c r="C4" s="2"/>
      <c r="D4" s="2"/>
      <c r="E4" s="2"/>
      <c r="F4" s="2"/>
      <c r="G4" s="3"/>
    </row>
    <row r="5" spans="1:7" ht="12.75">
      <c r="A5" s="1">
        <f>A4+1</f>
        <v>2016</v>
      </c>
      <c r="B5" s="64">
        <f>B4*1.01</f>
        <v>252500000</v>
      </c>
      <c r="C5" s="2"/>
      <c r="D5" s="2"/>
      <c r="E5" s="2"/>
      <c r="F5" s="2"/>
      <c r="G5" s="3"/>
    </row>
    <row r="6" spans="1:7" ht="12.75">
      <c r="A6" s="1">
        <f aca="true" t="shared" si="0" ref="A6:A18">A5+1</f>
        <v>2017</v>
      </c>
      <c r="B6" s="64">
        <f aca="true" t="shared" si="1" ref="B6:B43">B5*1.01</f>
        <v>255025000</v>
      </c>
      <c r="C6" s="40" t="s">
        <v>27</v>
      </c>
      <c r="D6" s="2"/>
      <c r="E6" s="2"/>
      <c r="F6" s="2"/>
      <c r="G6" s="3"/>
    </row>
    <row r="7" spans="1:7" ht="12.75">
      <c r="A7" s="1">
        <f t="shared" si="0"/>
        <v>2018</v>
      </c>
      <c r="B7" s="64">
        <f t="shared" si="1"/>
        <v>257575250</v>
      </c>
      <c r="C7" s="2"/>
      <c r="D7" s="2"/>
      <c r="E7" s="2"/>
      <c r="F7" s="2"/>
      <c r="G7" s="3"/>
    </row>
    <row r="8" spans="1:7" ht="12.75">
      <c r="A8" s="1">
        <f t="shared" si="0"/>
        <v>2019</v>
      </c>
      <c r="B8" s="64">
        <f t="shared" si="1"/>
        <v>260151002.5</v>
      </c>
      <c r="C8" s="2"/>
      <c r="D8" s="2"/>
      <c r="E8" s="2"/>
      <c r="F8" s="2"/>
      <c r="G8" s="3"/>
    </row>
    <row r="9" spans="1:7" ht="12.75">
      <c r="A9" s="1">
        <f t="shared" si="0"/>
        <v>2020</v>
      </c>
      <c r="B9" s="64">
        <f t="shared" si="1"/>
        <v>262752512.525</v>
      </c>
      <c r="C9" s="2"/>
      <c r="D9" s="2"/>
      <c r="E9" s="2"/>
      <c r="F9" s="2"/>
      <c r="G9" s="3"/>
    </row>
    <row r="10" spans="1:7" ht="12.75">
      <c r="A10" s="1">
        <f t="shared" si="0"/>
        <v>2021</v>
      </c>
      <c r="B10" s="64">
        <f t="shared" si="1"/>
        <v>265380037.65025002</v>
      </c>
      <c r="C10" s="2"/>
      <c r="D10" s="2"/>
      <c r="E10" s="2"/>
      <c r="F10" s="2"/>
      <c r="G10" s="3"/>
    </row>
    <row r="11" spans="1:7" ht="12.75">
      <c r="A11" s="1">
        <f t="shared" si="0"/>
        <v>2022</v>
      </c>
      <c r="B11" s="64">
        <f t="shared" si="1"/>
        <v>268033838.02675253</v>
      </c>
      <c r="C11" s="2"/>
      <c r="D11" s="2"/>
      <c r="E11" s="2"/>
      <c r="F11" s="2"/>
      <c r="G11" s="3"/>
    </row>
    <row r="12" spans="1:7" ht="12.75">
      <c r="A12" s="1">
        <f t="shared" si="0"/>
        <v>2023</v>
      </c>
      <c r="B12" s="64">
        <f t="shared" si="1"/>
        <v>270714176.40702003</v>
      </c>
      <c r="C12" s="2"/>
      <c r="D12" s="2"/>
      <c r="E12" s="2"/>
      <c r="F12" s="2"/>
      <c r="G12" s="3"/>
    </row>
    <row r="13" spans="1:7" ht="12.75">
      <c r="A13" s="1">
        <f t="shared" si="0"/>
        <v>2024</v>
      </c>
      <c r="B13" s="64">
        <f t="shared" si="1"/>
        <v>273421318.17109025</v>
      </c>
      <c r="C13" s="2"/>
      <c r="D13" s="2"/>
      <c r="E13" s="2"/>
      <c r="F13" s="2"/>
      <c r="G13" s="3"/>
    </row>
    <row r="14" spans="1:7" ht="12.75">
      <c r="A14" s="1">
        <f t="shared" si="0"/>
        <v>2025</v>
      </c>
      <c r="B14" s="64">
        <f t="shared" si="1"/>
        <v>276155531.35280114</v>
      </c>
      <c r="C14" s="2"/>
      <c r="D14" s="2"/>
      <c r="E14" s="2"/>
      <c r="F14" s="2"/>
      <c r="G14" s="3"/>
    </row>
    <row r="15" spans="1:7" ht="12.75">
      <c r="A15" s="1">
        <f t="shared" si="0"/>
        <v>2026</v>
      </c>
      <c r="B15" s="64">
        <f t="shared" si="1"/>
        <v>278917086.66632915</v>
      </c>
      <c r="C15" s="2"/>
      <c r="D15" s="2"/>
      <c r="E15" s="2"/>
      <c r="F15" s="2"/>
      <c r="G15" s="3"/>
    </row>
    <row r="16" spans="1:7" ht="12.75">
      <c r="A16" s="1">
        <f t="shared" si="0"/>
        <v>2027</v>
      </c>
      <c r="B16" s="64">
        <f t="shared" si="1"/>
        <v>281706257.5329924</v>
      </c>
      <c r="C16" s="2"/>
      <c r="D16" s="2"/>
      <c r="E16" s="2"/>
      <c r="F16" s="2"/>
      <c r="G16" s="3"/>
    </row>
    <row r="17" spans="1:7" ht="12.75">
      <c r="A17" s="1">
        <f t="shared" si="0"/>
        <v>2028</v>
      </c>
      <c r="B17" s="64">
        <f t="shared" si="1"/>
        <v>284523320.1083223</v>
      </c>
      <c r="C17" s="2"/>
      <c r="D17" s="2"/>
      <c r="E17" s="2"/>
      <c r="F17" s="2"/>
      <c r="G17" s="3"/>
    </row>
    <row r="18" spans="1:7" ht="12.75">
      <c r="A18" s="1">
        <f t="shared" si="0"/>
        <v>2029</v>
      </c>
      <c r="B18" s="64">
        <f t="shared" si="1"/>
        <v>287368553.30940557</v>
      </c>
      <c r="C18" s="2"/>
      <c r="D18" s="2"/>
      <c r="E18" s="2"/>
      <c r="F18" s="2"/>
      <c r="G18" s="3"/>
    </row>
    <row r="19" spans="1:7" ht="12.75">
      <c r="A19" s="1">
        <f>A18+1</f>
        <v>2030</v>
      </c>
      <c r="B19" s="64">
        <f t="shared" si="1"/>
        <v>290242238.8424996</v>
      </c>
      <c r="C19" s="2"/>
      <c r="D19" s="2"/>
      <c r="E19" s="2"/>
      <c r="F19" s="2"/>
      <c r="G19" s="3"/>
    </row>
    <row r="20" spans="1:7" ht="12.75">
      <c r="A20" s="1">
        <f>A19+1</f>
        <v>2031</v>
      </c>
      <c r="B20" s="64">
        <f t="shared" si="1"/>
        <v>293144661.2309246</v>
      </c>
      <c r="C20" s="40"/>
      <c r="D20" s="2"/>
      <c r="E20" s="2"/>
      <c r="F20" s="2"/>
      <c r="G20" s="3"/>
    </row>
    <row r="21" spans="1:7" ht="12.75">
      <c r="A21" s="1">
        <f>A20+1</f>
        <v>2032</v>
      </c>
      <c r="B21" s="64">
        <f t="shared" si="1"/>
        <v>296076107.8432339</v>
      </c>
      <c r="C21" s="40"/>
      <c r="D21" s="2"/>
      <c r="E21" s="2"/>
      <c r="F21" s="2"/>
      <c r="G21" s="3"/>
    </row>
    <row r="22" spans="1:7" ht="12.75">
      <c r="A22" s="1">
        <f>A21+1</f>
        <v>2033</v>
      </c>
      <c r="B22" s="64">
        <f t="shared" si="1"/>
        <v>299036868.9216662</v>
      </c>
      <c r="C22" s="40"/>
      <c r="D22" s="2"/>
      <c r="E22" s="2"/>
      <c r="F22" s="2"/>
      <c r="G22" s="3"/>
    </row>
    <row r="23" spans="1:7" ht="12.75">
      <c r="A23" s="1">
        <f>A22+1</f>
        <v>2034</v>
      </c>
      <c r="B23" s="64">
        <f t="shared" si="1"/>
        <v>302027237.6108829</v>
      </c>
      <c r="C23" s="40"/>
      <c r="D23" s="2"/>
      <c r="E23" s="2"/>
      <c r="F23" s="2"/>
      <c r="G23" s="3"/>
    </row>
    <row r="24" spans="1:7" ht="12.75">
      <c r="A24" s="1">
        <f aca="true" t="shared" si="2" ref="A24:A42">A23+1</f>
        <v>2035</v>
      </c>
      <c r="B24" s="64">
        <f t="shared" si="1"/>
        <v>305047509.9869917</v>
      </c>
      <c r="C24" s="40"/>
      <c r="D24" s="2"/>
      <c r="E24" s="2"/>
      <c r="F24" s="2"/>
      <c r="G24" s="3"/>
    </row>
    <row r="25" spans="1:7" ht="12.75">
      <c r="A25" s="1">
        <f t="shared" si="2"/>
        <v>2036</v>
      </c>
      <c r="B25" s="64">
        <f t="shared" si="1"/>
        <v>308097985.0868616</v>
      </c>
      <c r="C25" s="40"/>
      <c r="D25" s="2"/>
      <c r="E25" s="2"/>
      <c r="F25" s="2"/>
      <c r="G25" s="3"/>
    </row>
    <row r="26" spans="1:7" ht="12.75">
      <c r="A26" s="1">
        <f t="shared" si="2"/>
        <v>2037</v>
      </c>
      <c r="B26" s="64">
        <f t="shared" si="1"/>
        <v>311178964.93773025</v>
      </c>
      <c r="C26" s="40"/>
      <c r="D26" s="2"/>
      <c r="E26" s="2"/>
      <c r="F26" s="2"/>
      <c r="G26" s="3"/>
    </row>
    <row r="27" spans="1:7" ht="12.75">
      <c r="A27" s="1">
        <f t="shared" si="2"/>
        <v>2038</v>
      </c>
      <c r="B27" s="64">
        <f t="shared" si="1"/>
        <v>314290754.58710754</v>
      </c>
      <c r="C27" s="40"/>
      <c r="D27" s="2"/>
      <c r="E27" s="2"/>
      <c r="F27" s="2"/>
      <c r="G27" s="3"/>
    </row>
    <row r="28" spans="1:7" ht="12.75">
      <c r="A28" s="1">
        <f t="shared" si="2"/>
        <v>2039</v>
      </c>
      <c r="B28" s="64">
        <f t="shared" si="1"/>
        <v>317433662.1329786</v>
      </c>
      <c r="C28" s="40"/>
      <c r="D28" s="2"/>
      <c r="E28" s="2"/>
      <c r="F28" s="2"/>
      <c r="G28" s="3"/>
    </row>
    <row r="29" spans="1:7" ht="12.75">
      <c r="A29" s="1">
        <f t="shared" si="2"/>
        <v>2040</v>
      </c>
      <c r="B29" s="64">
        <f t="shared" si="1"/>
        <v>320607998.7543084</v>
      </c>
      <c r="C29" s="40"/>
      <c r="D29" s="2"/>
      <c r="E29" s="2"/>
      <c r="F29" s="2"/>
      <c r="G29" s="3"/>
    </row>
    <row r="30" spans="1:7" ht="12.75">
      <c r="A30" s="1">
        <f t="shared" si="2"/>
        <v>2041</v>
      </c>
      <c r="B30" s="64">
        <f t="shared" si="1"/>
        <v>323814078.7418515</v>
      </c>
      <c r="C30" s="40"/>
      <c r="D30" s="2"/>
      <c r="E30" s="2"/>
      <c r="F30" s="2"/>
      <c r="G30" s="3"/>
    </row>
    <row r="31" spans="1:7" ht="12.75">
      <c r="A31" s="1">
        <f t="shared" si="2"/>
        <v>2042</v>
      </c>
      <c r="B31" s="64">
        <f t="shared" si="1"/>
        <v>327052219.52927005</v>
      </c>
      <c r="C31" s="40"/>
      <c r="D31" s="2"/>
      <c r="E31" s="2"/>
      <c r="F31" s="2"/>
      <c r="G31" s="3"/>
    </row>
    <row r="32" spans="1:7" ht="12.75">
      <c r="A32" s="1">
        <f t="shared" si="2"/>
        <v>2043</v>
      </c>
      <c r="B32" s="64">
        <f t="shared" si="1"/>
        <v>330322741.72456276</v>
      </c>
      <c r="C32" s="40"/>
      <c r="D32" s="2"/>
      <c r="E32" s="2"/>
      <c r="F32" s="2"/>
      <c r="G32" s="3"/>
    </row>
    <row r="33" spans="1:7" ht="12.75">
      <c r="A33" s="1">
        <f t="shared" si="2"/>
        <v>2044</v>
      </c>
      <c r="B33" s="64">
        <f t="shared" si="1"/>
        <v>333625969.1418084</v>
      </c>
      <c r="C33" s="40"/>
      <c r="D33" s="2"/>
      <c r="E33" s="2"/>
      <c r="F33" s="2"/>
      <c r="G33" s="3"/>
    </row>
    <row r="34" spans="1:7" ht="12.75">
      <c r="A34" s="1">
        <f t="shared" si="2"/>
        <v>2045</v>
      </c>
      <c r="B34" s="64">
        <f t="shared" si="1"/>
        <v>336962228.8332265</v>
      </c>
      <c r="C34" s="40"/>
      <c r="D34" s="2"/>
      <c r="E34" s="2"/>
      <c r="F34" s="2"/>
      <c r="G34" s="3"/>
    </row>
    <row r="35" spans="1:7" ht="12.75">
      <c r="A35" s="1">
        <f t="shared" si="2"/>
        <v>2046</v>
      </c>
      <c r="B35" s="64">
        <f t="shared" si="1"/>
        <v>340331851.1215588</v>
      </c>
      <c r="C35" s="40"/>
      <c r="D35" s="2"/>
      <c r="E35" s="2"/>
      <c r="F35" s="2"/>
      <c r="G35" s="3"/>
    </row>
    <row r="36" spans="1:7" ht="12.75">
      <c r="A36" s="1">
        <f t="shared" si="2"/>
        <v>2047</v>
      </c>
      <c r="B36" s="64">
        <f t="shared" si="1"/>
        <v>343735169.63277435</v>
      </c>
      <c r="C36" s="40"/>
      <c r="D36" s="2"/>
      <c r="E36" s="2"/>
      <c r="F36" s="2"/>
      <c r="G36" s="3"/>
    </row>
    <row r="37" spans="1:7" ht="12.75">
      <c r="A37" s="1">
        <f t="shared" si="2"/>
        <v>2048</v>
      </c>
      <c r="B37" s="64">
        <f t="shared" si="1"/>
        <v>347172521.3291021</v>
      </c>
      <c r="C37" s="40"/>
      <c r="D37" s="2"/>
      <c r="E37" s="2"/>
      <c r="F37" s="2"/>
      <c r="G37" s="3"/>
    </row>
    <row r="38" spans="1:7" ht="12.75">
      <c r="A38" s="1">
        <f t="shared" si="2"/>
        <v>2049</v>
      </c>
      <c r="B38" s="64">
        <f t="shared" si="1"/>
        <v>350644246.54239315</v>
      </c>
      <c r="C38" s="40"/>
      <c r="D38" s="2"/>
      <c r="E38" s="2"/>
      <c r="F38" s="2"/>
      <c r="G38" s="3"/>
    </row>
    <row r="39" spans="1:7" ht="12.75">
      <c r="A39" s="1">
        <f t="shared" si="2"/>
        <v>2050</v>
      </c>
      <c r="B39" s="64">
        <f t="shared" si="1"/>
        <v>354150689.0078171</v>
      </c>
      <c r="C39" s="40"/>
      <c r="D39" s="2"/>
      <c r="E39" s="2"/>
      <c r="F39" s="2"/>
      <c r="G39" s="3"/>
    </row>
    <row r="40" spans="1:7" ht="12.75">
      <c r="A40" s="1">
        <f t="shared" si="2"/>
        <v>2051</v>
      </c>
      <c r="B40" s="64">
        <f t="shared" si="1"/>
        <v>357692195.8978953</v>
      </c>
      <c r="C40" s="40"/>
      <c r="D40" s="2"/>
      <c r="E40" s="2"/>
      <c r="F40" s="2"/>
      <c r="G40" s="3"/>
    </row>
    <row r="41" spans="1:7" ht="12.75">
      <c r="A41" s="1">
        <f t="shared" si="2"/>
        <v>2052</v>
      </c>
      <c r="B41" s="64">
        <f t="shared" si="1"/>
        <v>361269117.8568742</v>
      </c>
      <c r="C41" s="40"/>
      <c r="D41" s="2"/>
      <c r="E41" s="2"/>
      <c r="F41" s="2"/>
      <c r="G41" s="3"/>
    </row>
    <row r="42" spans="1:7" ht="12.75">
      <c r="A42" s="1">
        <f t="shared" si="2"/>
        <v>2053</v>
      </c>
      <c r="B42" s="64">
        <f t="shared" si="1"/>
        <v>364881809.03544295</v>
      </c>
      <c r="C42" s="40"/>
      <c r="D42" s="2"/>
      <c r="E42" s="2"/>
      <c r="F42" s="2"/>
      <c r="G42" s="3"/>
    </row>
    <row r="43" spans="1:7" ht="12.75">
      <c r="A43" s="1">
        <f>A42+1</f>
        <v>2054</v>
      </c>
      <c r="B43" s="64">
        <f t="shared" si="1"/>
        <v>368530627.1257974</v>
      </c>
      <c r="C43" s="40"/>
      <c r="D43" s="2"/>
      <c r="E43" s="2"/>
      <c r="F43" s="2"/>
      <c r="G43" s="3"/>
    </row>
    <row r="44" spans="1:7" ht="12.75">
      <c r="A44" s="12">
        <f>A43+1</f>
        <v>2055</v>
      </c>
      <c r="B44" s="63">
        <v>-1200000000</v>
      </c>
      <c r="C44" s="41" t="s">
        <v>26</v>
      </c>
      <c r="D44" s="13"/>
      <c r="E44" s="13"/>
      <c r="F44" s="13"/>
      <c r="G44" s="14"/>
    </row>
    <row r="45" spans="1:7" ht="12.75">
      <c r="A45" s="17"/>
      <c r="B45" s="51">
        <f>IRR(B3:B44,0.1)</f>
        <v>0.10669202637612697</v>
      </c>
      <c r="C45" s="40" t="s">
        <v>32</v>
      </c>
      <c r="D45" s="2"/>
      <c r="E45" s="2"/>
      <c r="F45" s="2"/>
      <c r="G45" s="3"/>
    </row>
    <row r="46" spans="1:7" ht="13.5" thickBot="1">
      <c r="A46" s="4"/>
      <c r="B46" s="68">
        <f>NPV(E2,B3:B44)</f>
        <v>718073670.5735351</v>
      </c>
      <c r="C46" s="42" t="s">
        <v>33</v>
      </c>
      <c r="D46" s="6"/>
      <c r="E46" s="6"/>
      <c r="F46" s="6"/>
      <c r="G46" s="7"/>
    </row>
    <row r="47" spans="1:7" ht="12.75">
      <c r="A47" s="2"/>
      <c r="B47" s="66"/>
      <c r="C47" s="40"/>
      <c r="D47" s="67"/>
      <c r="E47" s="2"/>
      <c r="F47" s="2"/>
      <c r="G47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zoomScale="190" zoomScaleNormal="190" workbookViewId="0" topLeftCell="A1">
      <selection activeCell="A1" sqref="A1:C1"/>
    </sheetView>
  </sheetViews>
  <sheetFormatPr defaultColWidth="9.140625" defaultRowHeight="12.75"/>
  <cols>
    <col min="1" max="1" width="8.7109375" style="0" customWidth="1"/>
    <col min="2" max="3" width="17.140625" style="0" customWidth="1"/>
  </cols>
  <sheetData>
    <row r="1" spans="1:3" ht="12.75">
      <c r="A1" s="87" t="s">
        <v>30</v>
      </c>
      <c r="B1" s="87"/>
      <c r="C1" s="87"/>
    </row>
    <row r="2" ht="13.5" thickBot="1"/>
    <row r="3" spans="1:3" ht="12.75">
      <c r="A3" s="36"/>
      <c r="B3" s="25" t="s">
        <v>13</v>
      </c>
      <c r="C3" s="31" t="s">
        <v>14</v>
      </c>
    </row>
    <row r="4" spans="1:3" ht="12.75">
      <c r="A4" s="1">
        <f>'NPV Stock'!A4</f>
        <v>2015</v>
      </c>
      <c r="B4" s="61">
        <v>-10000</v>
      </c>
      <c r="C4" s="81">
        <v>10000</v>
      </c>
    </row>
    <row r="5" spans="1:3" ht="12.75">
      <c r="A5" s="12">
        <f>A4+1</f>
        <v>2016</v>
      </c>
      <c r="B5" s="82">
        <v>15000</v>
      </c>
      <c r="C5" s="83">
        <v>-15000</v>
      </c>
    </row>
    <row r="6" spans="1:3" ht="13.5" thickBot="1">
      <c r="A6" s="4"/>
      <c r="B6" s="34">
        <f>IRR(B4:B5,0)</f>
        <v>0.5</v>
      </c>
      <c r="C6" s="35">
        <f>IRR(C4:C5,0)</f>
        <v>0.4999999999999999</v>
      </c>
    </row>
    <row r="8" spans="1:3" ht="12.75">
      <c r="A8" s="87" t="s">
        <v>15</v>
      </c>
      <c r="B8" s="87"/>
      <c r="C8" s="87"/>
    </row>
  </sheetData>
  <mergeCells count="2">
    <mergeCell ref="A1:C1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Frank Paiano</cp:lastModifiedBy>
  <cp:lastPrinted>2010-05-11T13:26:28Z</cp:lastPrinted>
  <dcterms:created xsi:type="dcterms:W3CDTF">2008-03-06T19:16:36Z</dcterms:created>
  <dcterms:modified xsi:type="dcterms:W3CDTF">2015-04-08T22:55:44Z</dcterms:modified>
  <cp:category/>
  <cp:version/>
  <cp:contentType/>
  <cp:contentStatus/>
</cp:coreProperties>
</file>